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NPiP2025_2026\Silabusi i kalkulatori za NPiP 2025_2026_Mašinski fakultet - novi\Mehatronika\IV_godina\Mehatronika_IV Godina_kalkulatori\"/>
    </mc:Choice>
  </mc:AlternateContent>
  <xr:revisionPtr revIDLastSave="0" documentId="13_ncr:1_{0C499C0B-A86D-4F62-835C-492327C70A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<sst xmlns="http://schemas.openxmlformats.org/spreadsheetml/2006/main" count="86" uniqueCount="81">
  <si>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</si>
  <si>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</si>
  <si>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</si>
  <si>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</si>
  <si>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</si>
  <si>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</si>
  <si>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</si>
  <si>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</si>
  <si>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</si>
  <si>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</si>
  <si>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</si>
  <si>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</si>
  <si>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</si>
  <si>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</si>
  <si>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</si>
  <si>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</si>
  <si>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</si>
  <si>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</si>
  <si>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</si>
  <si>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</si>
  <si>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</si>
  <si>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</si>
  <si>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</si>
  <si>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</si>
  <si>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</si>
  <si>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</si>
  <si>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</si>
  <si>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</si>
  <si>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</si>
  <si>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</si>
  <si>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</si>
  <si>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</si>
  <si>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</si>
  <si>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</si>
  <si>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</si>
  <si>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</si>
  <si>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</si>
  <si>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</si>
  <si>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</si>
  <si>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</si>
  <si>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</si>
  <si>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</si>
  <si>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</si>
  <si>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</si>
  <si>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</si>
  <si>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</si>
  <si>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</si>
  <si>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</si>
  <si>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</si>
  <si>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</si>
  <si>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</si>
  <si>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</si>
  <si>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</si>
  <si>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</si>
  <si>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</si>
  <si>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</si>
  <si>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</si>
  <si>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</si>
  <si>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</si>
  <si>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</si>
  <si>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</si>
  <si>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</si>
  <si>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</si>
  <si>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</si>
  <si>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</si>
  <si>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</si>
  <si>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</si>
  <si>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</si>
  <si>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</si>
  <si>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</si>
  <si>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</si>
  <si>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</si>
  <si>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</si>
  <si>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</si>
  <si>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</si>
  <si>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</si>
  <si>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</si>
  <si>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</si>
  <si>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 xml:space="preserve">INDUSTRIJSKI I MOBILNI ROBOTI </t>
  </si>
  <si>
    <t>Mašinski fakultet</t>
  </si>
  <si>
    <t>Mehatronika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</si>
</sst>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1">
    <xf numFmtId="0" fontId="0" fillId="0" borderId="0" xfId="0"/>
    <xf numFmtId="0" fontId="5" fillId="2" borderId="0" xfId="0" applyFont="1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2" borderId="0" xfId="0" applyFill="1"/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tabSelected="1" zoomScaleNormal="100" workbookViewId="0">
      <selection activeCell="H14" sqref="H14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4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79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80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39" t="s">
        <v>78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2">
        <v>5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2">
        <v>2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2">
        <v>0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2">
        <v>2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2">
        <v>175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2">
        <v>95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2">
        <v>0</v>
      </c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2">
        <v>0</v>
      </c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2">
        <v>3000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2">
        <v>0</v>
      </c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2">
        <v>4</v>
      </c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2">
        <v>2</v>
      </c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2">
        <v>15</v>
      </c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2">
        <v>0</v>
      </c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2">
        <v>5</v>
      </c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2">
        <v>5</v>
      </c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2">
        <v>0</v>
      </c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2">
        <v>0</v>
      </c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2">
        <v>3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2">
        <v>2</v>
      </c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9" customWidth="1"/>
    <col min="8" max="8" width="6.85546875" style="9" customWidth="1"/>
    <col min="9" max="9" width="4.5703125" style="9" customWidth="1"/>
    <col min="10" max="10" width="6.85546875" style="9" customWidth="1"/>
    <col min="11" max="16384" width="9.140625" style="9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1" t="s">
        <v>18</v>
      </c>
      <c r="B5" s="11"/>
      <c r="C5" s="11"/>
      <c r="D5" s="11"/>
      <c r="E5" s="11"/>
      <c r="F5" s="11"/>
      <c r="G5" s="11"/>
      <c r="H5" s="12"/>
    </row>
    <row r="6" spans="1:11">
      <c r="A6" s="41" t="s">
        <v>19</v>
      </c>
      <c r="B6" s="41"/>
      <c r="C6" s="41"/>
      <c r="D6" s="41"/>
      <c r="E6" s="41"/>
      <c r="F6" s="41"/>
      <c r="G6" s="41"/>
      <c r="H6" s="13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0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0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0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0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0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0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0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0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4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4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4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4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4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4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4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4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4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4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4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topLeftCell="A10" zoomScale="120" zoomScaleNormal="120" workbookViewId="0">
      <selection activeCell="A24" sqref="A24:F24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3" t="s">
        <v>74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5" spans="1:11">
      <c r="A5" s="3" t="s">
        <v>62</v>
      </c>
      <c r="B5" s="3"/>
      <c r="C5" s="3"/>
      <c r="D5" s="3"/>
      <c r="E5" s="3"/>
      <c r="F5" s="3"/>
      <c r="G5" s="3"/>
      <c r="H5" s="4"/>
      <c r="I5" s="4"/>
      <c r="J5" s="4"/>
      <c r="K5" s="4"/>
    </row>
    <row r="6" spans="1:11">
      <c r="A6" s="45" t="s">
        <v>30</v>
      </c>
      <c r="B6" s="45"/>
      <c r="C6" s="45"/>
      <c r="D6" s="45"/>
      <c r="E6" s="45"/>
      <c r="F6" s="45"/>
      <c r="G6" s="22" t="s">
        <v>31</v>
      </c>
      <c r="H6" s="23">
        <f>25*Aktivnosti!H8</f>
        <v>125</v>
      </c>
      <c r="I6" s="22" t="s">
        <v>32</v>
      </c>
      <c r="J6" s="23">
        <f>30*Aktivnosti!H8</f>
        <v>150</v>
      </c>
      <c r="K6" s="4" t="s">
        <v>33</v>
      </c>
    </row>
    <row r="7" spans="1:11">
      <c r="A7" s="44" t="s">
        <v>34</v>
      </c>
      <c r="B7" s="44"/>
      <c r="C7" s="44"/>
      <c r="D7" s="44"/>
      <c r="E7" s="44"/>
      <c r="F7" s="44"/>
      <c r="G7" s="5">
        <f>15*(Aktivnosti!H9+Aktivnosti!H10+Aktivnosti!H11)*Norme!H6</f>
        <v>45</v>
      </c>
      <c r="H7" s="4"/>
      <c r="I7" s="5"/>
      <c r="J7" s="4"/>
      <c r="K7" s="6">
        <f>G7/$G$23</f>
        <v>0.35964035964035962</v>
      </c>
    </row>
    <row r="8" spans="1:11">
      <c r="A8" s="44" t="s">
        <v>35</v>
      </c>
      <c r="B8" s="44"/>
      <c r="C8" s="44"/>
      <c r="D8" s="44"/>
      <c r="E8" s="44"/>
      <c r="F8" s="44"/>
      <c r="G8" s="5">
        <f>(Aktivnosti!H12/Norme!H7)+(Aktivnosti!H13/Norme!H8)+(Aktivnosti!H14/Norme!H12)</f>
        <v>16.666666666666668</v>
      </c>
      <c r="H8" s="4"/>
      <c r="I8" s="5"/>
      <c r="J8" s="4"/>
      <c r="K8" s="6">
        <f t="shared" ref="K8:K22" si="0">G8/$G$23</f>
        <v>0.13320013320013321</v>
      </c>
    </row>
    <row r="9" spans="1:11">
      <c r="A9" s="44" t="s">
        <v>36</v>
      </c>
      <c r="B9" s="44"/>
      <c r="C9" s="44"/>
      <c r="D9" s="44"/>
      <c r="E9" s="44"/>
      <c r="F9" s="44"/>
      <c r="G9" s="5">
        <f>(Aktivnosti!H12/Norme!H10)+(Aktivnosti!H13/Norme!H11)+(Aktivnosti!H14/Norme!H13)</f>
        <v>26.458333333333336</v>
      </c>
      <c r="H9" s="4"/>
      <c r="I9" s="5"/>
      <c r="J9" s="4"/>
      <c r="K9" s="6">
        <f t="shared" si="0"/>
        <v>0.21145521145521148</v>
      </c>
    </row>
    <row r="10" spans="1:11">
      <c r="A10" s="46" t="s">
        <v>61</v>
      </c>
      <c r="B10" s="44"/>
      <c r="C10" s="44"/>
      <c r="D10" s="44"/>
      <c r="E10" s="44"/>
      <c r="F10" s="44"/>
      <c r="G10" s="5">
        <f>Aktivnosti!H15/Norme!H9</f>
        <v>0</v>
      </c>
      <c r="H10" s="4"/>
      <c r="I10" s="5"/>
      <c r="J10" s="4"/>
      <c r="K10" s="6">
        <f t="shared" si="0"/>
        <v>0</v>
      </c>
    </row>
    <row r="11" spans="1:11">
      <c r="A11" s="44" t="s">
        <v>37</v>
      </c>
      <c r="B11" s="44"/>
      <c r="C11" s="44"/>
      <c r="D11" s="44"/>
      <c r="E11" s="44"/>
      <c r="F11" s="44"/>
      <c r="G11" s="5">
        <f>Aktivnosti!H16/Norme!H14</f>
        <v>15</v>
      </c>
      <c r="H11" s="4"/>
      <c r="I11" s="5"/>
      <c r="J11" s="4"/>
      <c r="K11" s="6">
        <f t="shared" si="0"/>
        <v>0.11988011988011989</v>
      </c>
    </row>
    <row r="12" spans="1:11">
      <c r="A12" s="44" t="s">
        <v>38</v>
      </c>
      <c r="B12" s="44"/>
      <c r="C12" s="44"/>
      <c r="D12" s="44"/>
      <c r="E12" s="44"/>
      <c r="F12" s="44"/>
      <c r="G12" s="5">
        <f>Aktivnosti!H17/Norme!H15</f>
        <v>0</v>
      </c>
      <c r="H12" s="4"/>
      <c r="I12" s="5"/>
      <c r="J12" s="4"/>
      <c r="K12" s="6">
        <f t="shared" si="0"/>
        <v>0</v>
      </c>
    </row>
    <row r="13" spans="1:11">
      <c r="A13" s="44" t="s">
        <v>39</v>
      </c>
      <c r="B13" s="44"/>
      <c r="C13" s="44"/>
      <c r="D13" s="44"/>
      <c r="E13" s="44"/>
      <c r="F13" s="44"/>
      <c r="G13" s="5">
        <f>Aktivnosti!H18/Norme!H16</f>
        <v>4</v>
      </c>
      <c r="H13" s="4"/>
      <c r="I13" s="5"/>
      <c r="J13" s="4"/>
      <c r="K13" s="6">
        <f t="shared" si="0"/>
        <v>3.1968031968031968E-2</v>
      </c>
    </row>
    <row r="14" spans="1:11">
      <c r="A14" s="44" t="s">
        <v>77</v>
      </c>
      <c r="B14" s="44"/>
      <c r="C14" s="44"/>
      <c r="D14" s="44"/>
      <c r="E14" s="44"/>
      <c r="F14" s="44"/>
      <c r="G14" s="5">
        <f>Aktivnosti!H19/Norme!H17</f>
        <v>2</v>
      </c>
      <c r="H14" s="4"/>
      <c r="I14" s="5"/>
      <c r="J14" s="4"/>
      <c r="K14" s="6">
        <f t="shared" si="0"/>
        <v>1.5984015984015984E-2</v>
      </c>
    </row>
    <row r="15" spans="1:11">
      <c r="A15" s="44" t="s">
        <v>64</v>
      </c>
      <c r="B15" s="44"/>
      <c r="C15" s="44"/>
      <c r="D15" s="44"/>
      <c r="E15" s="44"/>
      <c r="F15" s="44"/>
      <c r="G15" s="5">
        <f>Aktivnosti!H20/Norme!H18</f>
        <v>1</v>
      </c>
      <c r="H15" s="4"/>
      <c r="I15" s="5"/>
      <c r="J15" s="4"/>
      <c r="K15" s="6">
        <f t="shared" si="0"/>
        <v>7.992007992007992E-3</v>
      </c>
    </row>
    <row r="16" spans="1:11">
      <c r="A16" s="44" t="s">
        <v>40</v>
      </c>
      <c r="B16" s="44"/>
      <c r="C16" s="44"/>
      <c r="D16" s="44"/>
      <c r="E16" s="44"/>
      <c r="F16" s="44"/>
      <c r="G16" s="5">
        <f>Aktivnosti!H21/Norme!H19</f>
        <v>0</v>
      </c>
      <c r="H16" s="4"/>
      <c r="I16" s="5"/>
      <c r="J16" s="4"/>
      <c r="K16" s="6">
        <f t="shared" si="0"/>
        <v>0</v>
      </c>
    </row>
    <row r="17" spans="1:11">
      <c r="A17" s="44" t="s">
        <v>41</v>
      </c>
      <c r="B17" s="44"/>
      <c r="C17" s="44"/>
      <c r="D17" s="44"/>
      <c r="E17" s="44"/>
      <c r="F17" s="44"/>
      <c r="G17" s="5">
        <f>Aktivnosti!H22/Norme!H20</f>
        <v>5</v>
      </c>
      <c r="H17" s="4"/>
      <c r="I17" s="5"/>
      <c r="J17" s="4"/>
      <c r="K17" s="6">
        <f t="shared" si="0"/>
        <v>3.996003996003996E-2</v>
      </c>
    </row>
    <row r="18" spans="1:11">
      <c r="A18" s="44" t="s">
        <v>42</v>
      </c>
      <c r="B18" s="44"/>
      <c r="C18" s="44"/>
      <c r="D18" s="44"/>
      <c r="E18" s="44"/>
      <c r="F18" s="44"/>
      <c r="G18" s="5">
        <f>Aktivnosti!H23/Norme!H21</f>
        <v>5</v>
      </c>
      <c r="H18" s="4"/>
      <c r="I18" s="5"/>
      <c r="J18" s="4"/>
      <c r="K18" s="6">
        <f t="shared" si="0"/>
        <v>3.996003996003996E-2</v>
      </c>
    </row>
    <row r="19" spans="1:11">
      <c r="A19" s="44" t="s">
        <v>43</v>
      </c>
      <c r="B19" s="44"/>
      <c r="C19" s="44"/>
      <c r="D19" s="44"/>
      <c r="E19" s="44"/>
      <c r="F19" s="44"/>
      <c r="G19" s="5">
        <f>Aktivnosti!H24/Norme!H22</f>
        <v>0</v>
      </c>
      <c r="H19" s="4"/>
      <c r="I19" s="5"/>
      <c r="J19" s="4"/>
      <c r="K19" s="6">
        <f t="shared" si="0"/>
        <v>0</v>
      </c>
    </row>
    <row r="20" spans="1:11">
      <c r="A20" s="44" t="s">
        <v>44</v>
      </c>
      <c r="B20" s="44"/>
      <c r="C20" s="44"/>
      <c r="D20" s="44"/>
      <c r="E20" s="44"/>
      <c r="F20" s="44"/>
      <c r="G20" s="5">
        <f>Aktivnosti!H25/Norme!H23</f>
        <v>0</v>
      </c>
      <c r="H20" s="4"/>
      <c r="I20" s="5"/>
      <c r="J20" s="4"/>
      <c r="K20" s="6">
        <f t="shared" si="0"/>
        <v>0</v>
      </c>
    </row>
    <row r="21" spans="1:11">
      <c r="A21" s="44" t="s">
        <v>45</v>
      </c>
      <c r="B21" s="44"/>
      <c r="C21" s="44"/>
      <c r="D21" s="44"/>
      <c r="E21" s="44"/>
      <c r="F21" s="44"/>
      <c r="G21" s="5">
        <f>Aktivnosti!H26/Norme!H24</f>
        <v>3</v>
      </c>
      <c r="H21" s="4"/>
      <c r="I21" s="5"/>
      <c r="J21" s="4"/>
      <c r="K21" s="6">
        <f t="shared" si="0"/>
        <v>2.3976023976023976E-2</v>
      </c>
    </row>
    <row r="22" spans="1:11">
      <c r="A22" s="44" t="s">
        <v>46</v>
      </c>
      <c r="B22" s="44"/>
      <c r="C22" s="44"/>
      <c r="D22" s="44"/>
      <c r="E22" s="44"/>
      <c r="F22" s="44"/>
      <c r="G22" s="5">
        <f>Aktivnosti!H27/Norme!H25</f>
        <v>2</v>
      </c>
      <c r="H22" s="4"/>
      <c r="I22" s="5"/>
      <c r="J22" s="4"/>
      <c r="K22" s="6">
        <f t="shared" si="0"/>
        <v>1.5984015984015984E-2</v>
      </c>
    </row>
    <row r="23" spans="1:11">
      <c r="A23" s="48" t="s">
        <v>47</v>
      </c>
      <c r="B23" s="48"/>
      <c r="C23" s="48"/>
      <c r="D23" s="48"/>
      <c r="E23" s="48"/>
      <c r="F23" s="48"/>
      <c r="G23" s="7">
        <f>SUM(G7:G22)</f>
        <v>125.125</v>
      </c>
      <c r="H23" s="3"/>
      <c r="I23" s="7"/>
      <c r="J23" s="3"/>
      <c r="K23" s="8">
        <f>SUM(K7:K22)</f>
        <v>1</v>
      </c>
    </row>
    <row r="24" spans="1:11" ht="28.5" customHeight="1">
      <c r="A24" s="49" t="s">
        <v>48</v>
      </c>
      <c r="B24" s="49"/>
      <c r="C24" s="49"/>
      <c r="D24" s="49"/>
      <c r="E24" s="49"/>
      <c r="F24" s="49"/>
      <c r="G24" s="50" t="str">
        <f>IF(G23&lt;H6,"nedovoljno",IF(G23&gt;J6,"previše","OK"))</f>
        <v>OK</v>
      </c>
      <c r="H24" s="50"/>
      <c r="I24" s="50"/>
      <c r="J24" s="50"/>
      <c r="K24" s="50"/>
    </row>
    <row r="25" spans="1:11">
      <c r="A25" s="47" t="s">
        <v>70</v>
      </c>
      <c r="B25" s="47"/>
      <c r="C25" s="47"/>
      <c r="D25" s="47"/>
      <c r="E25" s="47"/>
      <c r="F25" s="47"/>
      <c r="G25" s="19" t="s">
        <v>31</v>
      </c>
      <c r="H25" s="20">
        <f>G23/30</f>
        <v>4.1708333333333334</v>
      </c>
      <c r="I25" s="19" t="s">
        <v>32</v>
      </c>
      <c r="J25" s="20">
        <f>G23/25</f>
        <v>5.0049999999999999</v>
      </c>
      <c r="K25" s="21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activeCell="E33" sqref="E33"/>
    </sheetView>
  </sheetViews>
  <sheetFormatPr defaultColWidth="9" defaultRowHeight="15"/>
  <cols>
    <col min="1" max="1" width="21.7109375" style="16" customWidth="1"/>
    <col min="2" max="2" width="47.7109375" style="16" customWidth="1"/>
    <col min="3" max="16384" width="9" style="16"/>
  </cols>
  <sheetData>
    <row r="1" spans="1:2">
      <c r="A1" s="15" t="s">
        <v>66</v>
      </c>
      <c r="B1" s="15"/>
    </row>
    <row r="2" spans="1:2">
      <c r="A2" s="15" t="s">
        <v>65</v>
      </c>
      <c r="B2" s="15"/>
    </row>
    <row r="3" spans="1:2">
      <c r="A3" s="15"/>
      <c r="B3" s="15"/>
    </row>
    <row r="4" spans="1:2">
      <c r="A4" s="17" t="s">
        <v>0</v>
      </c>
      <c r="B4" s="17" t="str">
        <f>Aktivnosti!D5</f>
        <v>Mašinski fakultet</v>
      </c>
    </row>
    <row r="5" spans="1:2">
      <c r="A5" s="17" t="s">
        <v>1</v>
      </c>
      <c r="B5" s="17" t="str">
        <f>Aktivnosti!D6</f>
        <v>Mehatronika</v>
      </c>
    </row>
    <row r="6" spans="1:2">
      <c r="A6" s="17" t="s">
        <v>2</v>
      </c>
      <c r="B6" s="17" t="str">
        <f>Aktivnosti!D7</f>
        <v xml:space="preserve">INDUSTRIJSKI I MOBILNI ROBOTI </v>
      </c>
    </row>
    <row r="7" spans="1:2">
      <c r="A7" s="17" t="s">
        <v>69</v>
      </c>
      <c r="B7" s="18">
        <f>IF(Proračun!G24="OK",Proračun!G7,"")</f>
        <v>45</v>
      </c>
    </row>
    <row r="8" spans="1:2">
      <c r="A8" s="17" t="s">
        <v>67</v>
      </c>
      <c r="B8" s="18">
        <f>IF(Proračun!G24="OK",SUM(Proračun!G8:G22),"")</f>
        <v>80.125</v>
      </c>
    </row>
    <row r="9" spans="1:2">
      <c r="A9" s="17" t="s">
        <v>68</v>
      </c>
      <c r="B9" s="18">
        <f>IF(Proračun!G24="OK",B7+B8,"")</f>
        <v>125.125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UNTZ MF WS4</cp:lastModifiedBy>
  <dcterms:created xsi:type="dcterms:W3CDTF">2006-09-16T00:00:00Z</dcterms:created>
  <dcterms:modified xsi:type="dcterms:W3CDTF">2025-05-16T07:54:31Z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